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2D" lockStructure="1"/>
  <bookViews>
    <workbookView xWindow="360" yWindow="435" windowWidth="28035" windowHeight="12705"/>
  </bookViews>
  <sheets>
    <sheet name="전기요금계산기" sheetId="1" r:id="rId1"/>
    <sheet name="Sheet2" sheetId="4" r:id="rId2"/>
    <sheet name="Sheet3" sheetId="3" r:id="rId3"/>
    <sheet name="Sheet2!" sheetId="2" state="hidden" r:id="rId4"/>
  </sheets>
  <calcPr calcId="145621"/>
</workbook>
</file>

<file path=xl/calcChain.xml><?xml version="1.0" encoding="utf-8"?>
<calcChain xmlns="http://schemas.openxmlformats.org/spreadsheetml/2006/main">
  <c r="D9" i="1" l="1"/>
  <c r="D10" i="1"/>
  <c r="K8" i="2" l="1"/>
  <c r="L8" i="2" s="1"/>
  <c r="O8" i="2"/>
  <c r="L9" i="2" l="1"/>
  <c r="M8" i="2"/>
  <c r="F5" i="2"/>
  <c r="F4" i="2"/>
  <c r="G4" i="2" s="1"/>
  <c r="N8" i="2" l="1"/>
  <c r="K9" i="2" s="1"/>
  <c r="O9" i="2" s="1"/>
  <c r="L14" i="2" s="1"/>
  <c r="G5" i="2"/>
  <c r="D11" i="1"/>
  <c r="L16" i="2" l="1"/>
  <c r="Q16" i="2" s="1"/>
  <c r="R16" i="2" s="1"/>
  <c r="S16" i="2" s="1"/>
  <c r="L15" i="2"/>
  <c r="Q15" i="2" s="1"/>
  <c r="Q14" i="2"/>
  <c r="R14" i="2" s="1"/>
  <c r="S14" i="2" s="1"/>
  <c r="D12" i="1"/>
  <c r="D13" i="1" s="1"/>
  <c r="S17" i="2" l="1"/>
  <c r="R15" i="2"/>
  <c r="S15" i="2" s="1"/>
  <c r="D14" i="1"/>
  <c r="D15" i="1" l="1"/>
  <c r="D16" i="1" s="1"/>
  <c r="D18" i="1" l="1"/>
  <c r="D17" i="1"/>
  <c r="D19" i="1" l="1"/>
</calcChain>
</file>

<file path=xl/sharedStrings.xml><?xml version="1.0" encoding="utf-8"?>
<sst xmlns="http://schemas.openxmlformats.org/spreadsheetml/2006/main" count="46" uniqueCount="45">
  <si>
    <t>전력량구간(kWH)</t>
  </si>
  <si>
    <t>기본 요금(원)</t>
  </si>
  <si>
    <t>전력량요금단가 (원/kWH)</t>
  </si>
  <si>
    <t>항목별 요금 계산</t>
  </si>
  <si>
    <t>전기사용량 (kWH)</t>
  </si>
  <si>
    <t>기본요금(원)</t>
  </si>
  <si>
    <t>전력량요금(원)</t>
  </si>
  <si>
    <t>부가가치세(원)</t>
  </si>
  <si>
    <t>전력기반기금(원)</t>
  </si>
  <si>
    <t>부과요금(원)</t>
  </si>
  <si>
    <t>누진시작</t>
    <phoneticPr fontId="1" type="noConversion"/>
  </si>
  <si>
    <t>구간요금(원)</t>
  </si>
  <si>
    <t>누적요금(원)</t>
  </si>
  <si>
    <t>기본요금 + 전력량요금</t>
    <phoneticPr fontId="1" type="noConversion"/>
  </si>
  <si>
    <t>비고</t>
    <phoneticPr fontId="1" type="noConversion"/>
  </si>
  <si>
    <t>월간 사용전력량 입력(소수점 이하 사용 안함)</t>
    <phoneticPr fontId="1" type="noConversion"/>
  </si>
  <si>
    <t>필수사용량 보장공제</t>
    <phoneticPr fontId="1" type="noConversion"/>
  </si>
  <si>
    <t>200kWh 이하 사용</t>
    <phoneticPr fontId="1" type="noConversion"/>
  </si>
  <si>
    <t>201 ~ 400kWh 사용</t>
    <phoneticPr fontId="1" type="noConversion"/>
  </si>
  <si>
    <t>400kWh 초과 사용</t>
    <phoneticPr fontId="1" type="noConversion"/>
  </si>
  <si>
    <t>전기요금계</t>
    <phoneticPr fontId="1" type="noConversion"/>
  </si>
  <si>
    <t>전기요금계 × 0.037 (10원미만 절사)</t>
    <phoneticPr fontId="1" type="noConversion"/>
  </si>
  <si>
    <t>원미만 4사 5입</t>
    <phoneticPr fontId="1" type="noConversion"/>
  </si>
  <si>
    <t>10원미만 절사</t>
    <phoneticPr fontId="1" type="noConversion"/>
  </si>
  <si>
    <t>원미만 절사</t>
    <phoneticPr fontId="1" type="noConversion"/>
  </si>
  <si>
    <t>원미만 절사</t>
    <phoneticPr fontId="1" type="noConversion"/>
  </si>
  <si>
    <t>©공무원 닷컴, http://0muwon.com</t>
    <phoneticPr fontId="1" type="noConversion"/>
  </si>
  <si>
    <t>주택용(저압) - 주거용 전력요금 계산기</t>
    <phoneticPr fontId="1" type="noConversion"/>
  </si>
  <si>
    <t>대가족할인 등(대가족/생명유지장치 요금제 선택)</t>
    <phoneticPr fontId="1" type="noConversion"/>
  </si>
  <si>
    <t>사용기간(시작일)</t>
    <phoneticPr fontId="1" type="noConversion"/>
  </si>
  <si>
    <t>YYYY-MM-DD 형식으로 입력</t>
    <phoneticPr fontId="1" type="noConversion"/>
  </si>
  <si>
    <t>최종할인 요금</t>
    <phoneticPr fontId="1" type="noConversion"/>
  </si>
  <si>
    <t>기본요금 ＋ 전력량요금 － 최종할인 요금)</t>
    <phoneticPr fontId="1" type="noConversion"/>
  </si>
  <si>
    <t>복지할인요금(유공자, 장애인, 사회복지시설, 기초생활 등)</t>
    <phoneticPr fontId="1" type="noConversion"/>
  </si>
  <si>
    <t>200kWh이하 사용시 월 4,000원 한도 감액(감액후 최저요금 1,000원)</t>
    <phoneticPr fontId="1" type="noConversion"/>
  </si>
  <si>
    <t>차상위</t>
    <phoneticPr fontId="1" type="noConversion"/>
  </si>
  <si>
    <t>기초생활(주거,교육)</t>
    <phoneticPr fontId="1" type="noConversion"/>
  </si>
  <si>
    <t>기초생활(생계,의료)</t>
    <phoneticPr fontId="1" type="noConversion"/>
  </si>
  <si>
    <t>기초생활할인</t>
    <phoneticPr fontId="1" type="noConversion"/>
  </si>
  <si>
    <t>대가족할인 등</t>
    <phoneticPr fontId="1" type="noConversion"/>
  </si>
  <si>
    <t>기초생활(주거,교육)</t>
    <phoneticPr fontId="1" type="noConversion"/>
  </si>
  <si>
    <t>차상위계층</t>
    <phoneticPr fontId="1" type="noConversion"/>
  </si>
  <si>
    <t>사회복지시설</t>
    <phoneticPr fontId="1" type="noConversion"/>
  </si>
  <si>
    <t>해당없음</t>
  </si>
  <si>
    <t>＊노란색 부분만 형식에 맞게 입력을 하세요.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</si>
</sst>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&quot;₩&quot;#,##0_);[Red]\(&quot;₩&quot;#,##0\)"/>
    <numFmt numFmtId="178" formatCode="#,##0_);[Red]\(#,##0\)"/>
    <numFmt numFmtId="179" formatCode="0_);[Red]\(0\)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FF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0" fillId="0" borderId="1" xfId="0" applyNumberFormat="1" applyBorder="1" applyProtection="1">
      <alignment vertical="center"/>
    </xf>
    <xf numFmtId="176" fontId="3" fillId="0" borderId="1" xfId="0" applyNumberFormat="1" applyFont="1" applyBorder="1" applyProtection="1">
      <alignment vertical="center"/>
    </xf>
    <xf numFmtId="177" fontId="4" fillId="0" borderId="8" xfId="0" applyNumberFormat="1" applyFont="1" applyBorder="1" applyProtection="1">
      <alignment vertical="center"/>
    </xf>
    <xf numFmtId="0" fontId="2" fillId="3" borderId="0" xfId="1" applyFill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178" fontId="0" fillId="2" borderId="1" xfId="0" applyNumberFormat="1" applyFill="1" applyBorder="1" applyProtection="1">
      <alignment vertical="center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14" fontId="0" fillId="2" borderId="1" xfId="0" applyNumberFormat="1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4" fillId="0" borderId="7" xfId="0" applyFont="1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3" borderId="0" xfId="0" applyFill="1" applyProtection="1">
      <alignment vertical="center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2" fillId="4" borderId="0" xfId="1" applyFill="1" applyAlignment="1" applyProtection="1">
      <alignment horizontal="right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right" vertical="center"/>
      <protection locked="0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0muw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tabSelected="1" workbookViewId="0">
      <selection activeCell="E9" sqref="E9"/>
    </sheetView>
  </sheetViews>
  <sheetFormatPr defaultRowHeight="16.5"/>
  <cols>
    <col min="2" max="2" width="1.625" customWidth="1"/>
    <col min="3" max="3" width="28.25" customWidth="1"/>
    <col min="4" max="4" width="14.5" bestFit="1" customWidth="1"/>
    <col min="5" max="5" width="63.625" bestFit="1" customWidth="1"/>
    <col min="6" max="6" width="1.625" customWidth="1"/>
  </cols>
  <sheetData>
    <row r="2" spans="2:6" ht="12" customHeight="1">
      <c r="B2" s="19"/>
      <c r="C2" s="19"/>
      <c r="D2" s="19"/>
      <c r="E2" s="19"/>
      <c r="F2" s="19"/>
    </row>
    <row r="3" spans="2:6" ht="45" customHeight="1">
      <c r="B3" s="19"/>
      <c r="C3" s="20" t="s">
        <v>27</v>
      </c>
      <c r="D3" s="20"/>
      <c r="E3" s="20"/>
      <c r="F3" s="19"/>
    </row>
    <row r="4" spans="2:6" ht="20.100000000000001" customHeight="1">
      <c r="B4" s="19"/>
      <c r="C4" s="21" t="s">
        <v>26</v>
      </c>
      <c r="D4" s="21"/>
      <c r="E4" s="21"/>
      <c r="F4" s="19"/>
    </row>
    <row r="5" spans="2:6" ht="12" customHeight="1">
      <c r="B5" s="19"/>
      <c r="C5" s="10"/>
      <c r="D5" s="10"/>
      <c r="E5" s="10"/>
      <c r="F5" s="19"/>
    </row>
    <row r="6" spans="2:6" ht="30" customHeight="1">
      <c r="B6" s="19"/>
      <c r="C6" s="22" t="s">
        <v>3</v>
      </c>
      <c r="D6" s="23"/>
      <c r="E6" s="18" t="s">
        <v>14</v>
      </c>
      <c r="F6" s="19"/>
    </row>
    <row r="7" spans="2:6" ht="30" customHeight="1">
      <c r="B7" s="19"/>
      <c r="C7" s="11" t="s">
        <v>4</v>
      </c>
      <c r="D7" s="12">
        <v>490</v>
      </c>
      <c r="E7" s="13" t="s">
        <v>15</v>
      </c>
      <c r="F7" s="19"/>
    </row>
    <row r="8" spans="2:6" ht="30" customHeight="1">
      <c r="B8" s="19"/>
      <c r="C8" s="11" t="s">
        <v>29</v>
      </c>
      <c r="D8" s="14">
        <v>43313</v>
      </c>
      <c r="E8" s="13" t="s">
        <v>30</v>
      </c>
      <c r="F8" s="19"/>
    </row>
    <row r="9" spans="2:6" ht="30" customHeight="1">
      <c r="B9" s="19"/>
      <c r="C9" s="11" t="s">
        <v>5</v>
      </c>
      <c r="D9" s="7">
        <f>+IF(D7&gt;'Sheet2!'!B5,'Sheet2!'!D6,IF(D7&gt;'Sheet2!'!B4,'Sheet2!'!D5,'Sheet2!'!D4))</f>
        <v>7300</v>
      </c>
      <c r="E9" s="13" t="s">
        <v>24</v>
      </c>
      <c r="F9" s="19"/>
    </row>
    <row r="10" spans="2:6" ht="30" customHeight="1">
      <c r="B10" s="19"/>
      <c r="C10" s="11" t="s">
        <v>6</v>
      </c>
      <c r="D10" s="7">
        <f>+ROUNDDOWN((IF($D$7&gt;'Sheet2!'!B5,'Sheet2!'!G5+($D$7-'Sheet2!'!B5)*'Sheet2!'!E6,IF($D$7&gt;'Sheet2!'!B4,'Sheet2!'!F4+($D$7-'Sheet2!'!B4)*'Sheet2!'!E5,($D$7*'Sheet2!'!E4)))),0)</f>
        <v>81494</v>
      </c>
      <c r="E10" s="13" t="s">
        <v>25</v>
      </c>
      <c r="F10" s="19"/>
    </row>
    <row r="11" spans="2:6" ht="30" customHeight="1">
      <c r="B11" s="19"/>
      <c r="C11" s="11" t="s">
        <v>13</v>
      </c>
      <c r="D11" s="8">
        <f>+IF((D9+D10)&lt;1000,1000,(D9+D10))</f>
        <v>88794</v>
      </c>
      <c r="E11" s="13"/>
      <c r="F11" s="19"/>
    </row>
    <row r="12" spans="2:6" ht="30" customHeight="1">
      <c r="B12" s="19"/>
      <c r="C12" s="11" t="s">
        <v>16</v>
      </c>
      <c r="D12" s="8">
        <f>-IF(D7&lt;='Sheet2!'!B4,IF(D11-4000&gt;1000,4000,D9+D10-1000),0)</f>
        <v>0</v>
      </c>
      <c r="E12" s="13" t="s">
        <v>34</v>
      </c>
      <c r="F12" s="19"/>
    </row>
    <row r="13" spans="2:6" ht="30" customHeight="1">
      <c r="B13" s="19"/>
      <c r="C13" s="15" t="s">
        <v>43</v>
      </c>
      <c r="D13" s="8">
        <f>-ROUNDDOWN(IF(C13="해당없음",0,IF(C13="생명유지장치",(D11+D12)*30%,IF((D11+D12)*30%&gt;=16000,16000,(D11+D12)*30%))),0)</f>
        <v>0</v>
      </c>
      <c r="E13" s="13" t="s">
        <v>28</v>
      </c>
      <c r="F13" s="19"/>
    </row>
    <row r="14" spans="2:6" ht="30" customHeight="1">
      <c r="B14" s="19"/>
      <c r="C14" s="15" t="s">
        <v>43</v>
      </c>
      <c r="D14" s="8">
        <f>ROUNDDOWN(-IF(C14="해당없음",0,IF(OR(C14="유공자",C14="장애인"),IF(D11&lt;('Sheet2!'!O8*('Sheet2!'!M8/'Sheet2!'!L8)+'Sheet2!'!O9*('Sheet2!'!N8/'Sheet2!'!L8)),D11,'Sheet2!'!L14),IF(C14="사회복지시설",'Sheet2!'!S17,IF(C14="기초생계의료",'Sheet2!'!S14,IF(C14="기초주거교육",'Sheet2!'!S15,IF(C14="차상위계층",'Sheet2!'!S16,9999)))))),0)</f>
        <v>0</v>
      </c>
      <c r="E14" s="13" t="s">
        <v>33</v>
      </c>
      <c r="F14" s="19"/>
    </row>
    <row r="15" spans="2:6" ht="30" customHeight="1">
      <c r="B15" s="19"/>
      <c r="C15" s="11" t="s">
        <v>31</v>
      </c>
      <c r="D15" s="8">
        <f>IF(OR(C14="유공자",C14="장애인"),MIN((D12+D13),D14),IF(C14="사회복지시설",D12+D14,MIN((D12+D13),D14)))</f>
        <v>0</v>
      </c>
      <c r="E15" s="13"/>
      <c r="F15" s="19"/>
    </row>
    <row r="16" spans="2:6" ht="30" customHeight="1">
      <c r="B16" s="19"/>
      <c r="C16" s="11" t="s">
        <v>20</v>
      </c>
      <c r="D16" s="8">
        <f>D11+D15</f>
        <v>88794</v>
      </c>
      <c r="E16" s="13" t="s">
        <v>32</v>
      </c>
      <c r="F16" s="19"/>
    </row>
    <row r="17" spans="2:6" ht="30" customHeight="1">
      <c r="B17" s="19"/>
      <c r="C17" s="11" t="s">
        <v>7</v>
      </c>
      <c r="D17" s="7">
        <f>+ROUND(D16*0.1,0)</f>
        <v>8879</v>
      </c>
      <c r="E17" s="13" t="s">
        <v>22</v>
      </c>
      <c r="F17" s="19"/>
    </row>
    <row r="18" spans="2:6" ht="30" customHeight="1">
      <c r="B18" s="19"/>
      <c r="C18" s="11" t="s">
        <v>8</v>
      </c>
      <c r="D18" s="7">
        <f>+ROUNDDOWN(D16*0.037,-1)</f>
        <v>3280</v>
      </c>
      <c r="E18" s="13" t="s">
        <v>21</v>
      </c>
      <c r="F18" s="19"/>
    </row>
    <row r="19" spans="2:6" ht="30" customHeight="1">
      <c r="B19" s="19"/>
      <c r="C19" s="16" t="s">
        <v>9</v>
      </c>
      <c r="D19" s="9">
        <f>+ROUNDDOWN((D16+D17+D18),-1)</f>
        <v>100950</v>
      </c>
      <c r="E19" s="17" t="s">
        <v>23</v>
      </c>
      <c r="F19" s="19"/>
    </row>
    <row r="20" spans="2:6" ht="12" customHeight="1">
      <c r="B20" s="19"/>
      <c r="C20" s="19"/>
      <c r="D20" s="19"/>
      <c r="E20" s="19"/>
      <c r="F20" s="19"/>
    </row>
    <row r="21" spans="2:6">
      <c r="B21" s="24" t="s">
        <v>44</v>
      </c>
      <c r="C21" s="24"/>
      <c r="D21" s="24"/>
      <c r="E21" s="24"/>
      <c r="F21" s="24"/>
    </row>
    <row r="35" spans="5:5">
      <c r="E35" s="3"/>
    </row>
  </sheetData>
  <sheetProtection password="CC2D" sheet="1" objects="1" scenarios="1" selectLockedCells="1"/>
  <mergeCells count="4">
    <mergeCell ref="C3:E3"/>
    <mergeCell ref="C4:E4"/>
    <mergeCell ref="C6:D6"/>
    <mergeCell ref="B21:F21"/>
  </mergeCells>
  <phoneticPr fontId="1" type="noConversion"/>
  <dataValidations count="4">
    <dataValidation type="list" allowBlank="1" showInputMessage="1" showErrorMessage="1" prompt="대가족, 생명유지장치 요금제를 선택하세요." sqref="C13">
      <formula1>"해당없음,5인이상 가구,출산 가구,3자녀이상 가구,생명유지장치"</formula1>
    </dataValidation>
    <dataValidation type="list" allowBlank="1" showInputMessage="1" showErrorMessage="1" prompt="복지할인요금을 선택하세요." sqref="C14">
      <formula1>"해당없음,유공자,장애인,사회복지시설,기초생계의료,기초주거교육,차상위계층"</formula1>
    </dataValidation>
    <dataValidation type="whole" allowBlank="1" showInputMessage="1" showErrorMessage="1" sqref="D7">
      <formula1>1</formula1>
      <formula2>100000</formula2>
    </dataValidation>
    <dataValidation type="date" allowBlank="1" showInputMessage="1" showErrorMessage="1" sqref="D8">
      <formula1>36526</formula1>
      <formula2>73415</formula2>
    </dataValidation>
  </dataValidations>
  <hyperlinks>
    <hyperlink ref="C4" r:id="rId1" display="http://0muwon.com"/>
  </hyperlinks>
  <pageMargins left="0.7" right="0.7" top="0.75" bottom="0.75" header="0.3" footer="0.3"/>
  <pageSetup paperSize="9" orientation="portrait" r:id="rId2"/>
  <ignoredErrors>
    <ignoredError sqref="D9:D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5" sqref="E35"/>
    </sheetView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4" sqref="F34"/>
    </sheetView>
  </sheetViews>
  <sheetFormatPr defaultRowHeight="16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7"/>
  <sheetViews>
    <sheetView workbookViewId="0">
      <selection activeCell="E29" sqref="E29"/>
    </sheetView>
  </sheetViews>
  <sheetFormatPr defaultRowHeight="16.5"/>
  <cols>
    <col min="3" max="3" width="19.25" bestFit="1" customWidth="1"/>
    <col min="4" max="4" width="13" bestFit="1" customWidth="1"/>
    <col min="5" max="5" width="24.75" bestFit="1" customWidth="1"/>
    <col min="6" max="7" width="12.375" bestFit="1" customWidth="1"/>
    <col min="11" max="11" width="11.125" bestFit="1" customWidth="1"/>
    <col min="12" max="14" width="11.125" customWidth="1"/>
    <col min="16" max="16" width="19" bestFit="1" customWidth="1"/>
    <col min="17" max="17" width="13" bestFit="1" customWidth="1"/>
    <col min="18" max="18" width="13.75" bestFit="1" customWidth="1"/>
  </cols>
  <sheetData>
    <row r="3" spans="2:19" ht="30" customHeight="1">
      <c r="B3" s="2" t="s">
        <v>10</v>
      </c>
      <c r="C3" s="2" t="s">
        <v>0</v>
      </c>
      <c r="D3" s="2" t="s">
        <v>1</v>
      </c>
      <c r="E3" s="2" t="s">
        <v>2</v>
      </c>
      <c r="F3" s="2" t="s">
        <v>11</v>
      </c>
      <c r="G3" s="2" t="s">
        <v>12</v>
      </c>
    </row>
    <row r="4" spans="2:19" ht="30" customHeight="1">
      <c r="B4" s="2">
        <v>200</v>
      </c>
      <c r="C4" t="s">
        <v>17</v>
      </c>
      <c r="D4">
        <v>910</v>
      </c>
      <c r="E4">
        <v>93.3</v>
      </c>
      <c r="F4" s="1">
        <f>B4*E4</f>
        <v>18660</v>
      </c>
      <c r="G4" s="1">
        <f>+F4</f>
        <v>18660</v>
      </c>
    </row>
    <row r="5" spans="2:19" ht="30" customHeight="1">
      <c r="B5" s="2">
        <v>400</v>
      </c>
      <c r="C5" t="s">
        <v>18</v>
      </c>
      <c r="D5" s="1">
        <v>1600</v>
      </c>
      <c r="E5">
        <v>187.9</v>
      </c>
      <c r="F5" s="1">
        <f>B4*E5</f>
        <v>37580</v>
      </c>
      <c r="G5" s="1">
        <f>SUM(F4:F5)</f>
        <v>56240</v>
      </c>
    </row>
    <row r="6" spans="2:19" ht="30" customHeight="1">
      <c r="B6" s="2"/>
      <c r="C6" t="s">
        <v>19</v>
      </c>
      <c r="D6" s="1">
        <v>7300</v>
      </c>
      <c r="E6">
        <v>280.60000000000002</v>
      </c>
    </row>
    <row r="7" spans="2:19">
      <c r="P7" t="s">
        <v>36</v>
      </c>
      <c r="Q7" t="s">
        <v>35</v>
      </c>
    </row>
    <row r="8" spans="2:19">
      <c r="K8" s="3">
        <f>EOMONTH(전기요금계산기!D8,0)</f>
        <v>43343</v>
      </c>
      <c r="L8" s="5">
        <f>DAY(K8)</f>
        <v>31</v>
      </c>
      <c r="M8" s="5">
        <f>K8-전기요금계산기!D8+1</f>
        <v>31</v>
      </c>
      <c r="N8" s="5">
        <f>L8-M8</f>
        <v>0</v>
      </c>
      <c r="O8" s="4">
        <f>IF(AND(MONTH(전기요금계산기!D8)&gt;=6,MONTH(전기요금계산기!D8)&lt;=8),20000,16000)</f>
        <v>20000</v>
      </c>
      <c r="P8" s="4">
        <v>12000</v>
      </c>
      <c r="Q8" s="4">
        <v>10000</v>
      </c>
    </row>
    <row r="9" spans="2:19">
      <c r="K9" s="3">
        <f>K8+N8</f>
        <v>43343</v>
      </c>
      <c r="L9" s="5">
        <f>L8</f>
        <v>31</v>
      </c>
      <c r="O9" s="4">
        <f>IF(AND(MONTH(K9)&gt;=6,MONTH(K9)&lt;=8),20000,16000)</f>
        <v>20000</v>
      </c>
      <c r="P9" s="4">
        <v>10000</v>
      </c>
      <c r="Q9" s="4">
        <v>8000</v>
      </c>
    </row>
    <row r="13" spans="2:19">
      <c r="Q13" t="s">
        <v>38</v>
      </c>
      <c r="R13" t="s">
        <v>39</v>
      </c>
    </row>
    <row r="14" spans="2:19">
      <c r="L14" s="4">
        <f>ROUNDDOWN((O8*(M8/L8)+O9*(N8/L8)),0)</f>
        <v>20000</v>
      </c>
      <c r="P14" t="s">
        <v>37</v>
      </c>
      <c r="Q14" s="6">
        <f>MIN(L14,전기요금계산기!D11)</f>
        <v>20000</v>
      </c>
      <c r="R14" s="6">
        <f>ROUNDDOWN(IF(전기요금계산기!C13="해당없음",0,(전기요금계산기!D11-Q14)*30%),0)</f>
        <v>0</v>
      </c>
      <c r="S14" s="6">
        <f>Q14+R14</f>
        <v>20000</v>
      </c>
    </row>
    <row r="15" spans="2:19">
      <c r="L15" s="4">
        <f>ROUNDDOWN((P8*(M8/L8)+P9*(N8/L8)),0)</f>
        <v>12000</v>
      </c>
      <c r="P15" t="s">
        <v>40</v>
      </c>
      <c r="Q15" s="6">
        <f>MIN(L15,전기요금계산기!D11)</f>
        <v>12000</v>
      </c>
      <c r="R15" s="6">
        <f>ROUNDDOWN(IF(전기요금계산기!C13="해당없음",0,(전기요금계산기!D11-Q15)*30%),0)</f>
        <v>0</v>
      </c>
      <c r="S15" s="6">
        <f>Q15+R15</f>
        <v>12000</v>
      </c>
    </row>
    <row r="16" spans="2:19">
      <c r="L16" s="4">
        <f>ROUNDDOWN((Q8*(M8/L8)+Q9*(N8/L8)),0)</f>
        <v>10000</v>
      </c>
      <c r="P16" t="s">
        <v>41</v>
      </c>
      <c r="Q16" s="6">
        <f>MIN(L16,전기요금계산기!D11)</f>
        <v>10000</v>
      </c>
      <c r="R16" s="6">
        <f>ROUNDDOWN(IF(전기요금계산기!C13="해당없음",0,(전기요금계산기!D11-Q16)*30%),0)</f>
        <v>0</v>
      </c>
      <c r="S16" s="6">
        <f>Q16+R16</f>
        <v>10000</v>
      </c>
    </row>
    <row r="17" spans="16:19">
      <c r="P17" t="s">
        <v>42</v>
      </c>
      <c r="Q17" s="6"/>
      <c r="R17" s="6"/>
      <c r="S17" s="6">
        <f>ROUNDDOWN((전기요금계산기!D11+전기요금계산기!D12)*30%,0)</f>
        <v>26638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전기요금계산기</vt:lpstr>
      <vt:lpstr>Sheet2</vt:lpstr>
      <vt:lpstr>Sheet3</vt:lpstr>
      <vt:lpstr>Sheet2!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2018-08-08T01:54:03Z</dcterms:created>
  <dcterms:modified xsi:type="dcterms:W3CDTF">2018-08-09T07:18:52Z</dcterms:modified>
</cp:coreProperties>
</file>